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vier\Desktop\Curso Costos y Presupuestos\"/>
    </mc:Choice>
  </mc:AlternateContent>
  <bookViews>
    <workbookView xWindow="0" yWindow="0" windowWidth="4455" windowHeight="2235" activeTab="1"/>
  </bookViews>
  <sheets>
    <sheet name="CUEROS FINOS" sheetId="1" r:id="rId1"/>
    <sheet name="CHOCOTEJAS GALI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2" l="1"/>
  <c r="I35" i="2"/>
  <c r="H35" i="2"/>
  <c r="H37" i="2" s="1"/>
  <c r="G35" i="2"/>
  <c r="F35" i="2"/>
  <c r="I44" i="2"/>
  <c r="I43" i="2"/>
  <c r="I42" i="2"/>
  <c r="I41" i="2"/>
  <c r="H44" i="2"/>
  <c r="H43" i="2"/>
  <c r="H42" i="2"/>
  <c r="H41" i="2"/>
  <c r="G44" i="2"/>
  <c r="G43" i="2"/>
  <c r="G42" i="2"/>
  <c r="F42" i="2"/>
  <c r="F44" i="2" s="1"/>
  <c r="G41" i="2"/>
  <c r="F43" i="2"/>
  <c r="F41" i="2"/>
  <c r="G37" i="2"/>
  <c r="F12" i="2"/>
  <c r="F31" i="2" s="1"/>
  <c r="I12" i="2"/>
  <c r="J12" i="2" s="1"/>
  <c r="J34" i="2"/>
  <c r="I34" i="2"/>
  <c r="H34" i="2"/>
  <c r="G34" i="2"/>
  <c r="F34" i="2"/>
  <c r="G31" i="2"/>
  <c r="H31" i="2"/>
  <c r="G12" i="2"/>
  <c r="H12" i="2"/>
  <c r="J15" i="2"/>
  <c r="F14" i="2"/>
  <c r="F16" i="2" s="1"/>
  <c r="F32" i="2" s="1"/>
  <c r="I15" i="2"/>
  <c r="H15" i="2"/>
  <c r="G15" i="2"/>
  <c r="F15" i="2"/>
  <c r="H14" i="2"/>
  <c r="H16" i="2" s="1"/>
  <c r="H32" i="2" s="1"/>
  <c r="H33" i="2" s="1"/>
  <c r="G14" i="2"/>
  <c r="G16" i="2" s="1"/>
  <c r="H13" i="2"/>
  <c r="J13" i="2"/>
  <c r="I13" i="2"/>
  <c r="G13" i="2"/>
  <c r="F13" i="2"/>
  <c r="B17" i="2"/>
  <c r="I14" i="2" l="1"/>
  <c r="I16" i="2" s="1"/>
  <c r="I32" i="2" s="1"/>
  <c r="I33" i="2" s="1"/>
  <c r="I37" i="2" s="1"/>
  <c r="I31" i="2"/>
  <c r="J31" i="2" s="1"/>
  <c r="F33" i="2"/>
  <c r="G32" i="2"/>
  <c r="G33" i="2" s="1"/>
  <c r="B20" i="2"/>
  <c r="B19" i="2"/>
  <c r="B21" i="2"/>
  <c r="B18" i="2"/>
  <c r="B14" i="2"/>
  <c r="K58" i="1"/>
  <c r="I58" i="1"/>
  <c r="J58" i="1"/>
  <c r="H58" i="1"/>
  <c r="J52" i="1"/>
  <c r="J50" i="1" s="1"/>
  <c r="I52" i="1"/>
  <c r="I50" i="1" s="1"/>
  <c r="H52" i="1"/>
  <c r="H50" i="1" s="1"/>
  <c r="K48" i="1"/>
  <c r="K49" i="1"/>
  <c r="J56" i="1"/>
  <c r="I56" i="1"/>
  <c r="H56" i="1"/>
  <c r="H6" i="1"/>
  <c r="H7" i="1"/>
  <c r="H8" i="1"/>
  <c r="H9" i="1"/>
  <c r="H10" i="1"/>
  <c r="H11" i="1"/>
  <c r="H12" i="1"/>
  <c r="G13" i="1"/>
  <c r="H13" i="1"/>
  <c r="I22" i="1"/>
  <c r="I23" i="1"/>
  <c r="I24" i="1"/>
  <c r="H38" i="1"/>
  <c r="L33" i="1" s="1"/>
  <c r="D6" i="1"/>
  <c r="D21" i="1"/>
  <c r="D22" i="1"/>
  <c r="D23" i="1"/>
  <c r="D48" i="1"/>
  <c r="D49" i="1"/>
  <c r="D50" i="1"/>
  <c r="D51" i="1"/>
  <c r="D52" i="1"/>
  <c r="D53" i="1"/>
  <c r="D54" i="1"/>
  <c r="C55" i="1"/>
  <c r="O38" i="1"/>
  <c r="R33" i="1" s="1"/>
  <c r="P23" i="1"/>
  <c r="P22" i="1"/>
  <c r="P21" i="1"/>
  <c r="C38" i="1"/>
  <c r="F33" i="1" s="1"/>
  <c r="J32" i="2" l="1"/>
  <c r="J14" i="2"/>
  <c r="J16" i="2"/>
  <c r="J33" i="2"/>
  <c r="F37" i="2"/>
  <c r="J37" i="2" s="1"/>
  <c r="K50" i="1"/>
  <c r="D55" i="1"/>
</calcChain>
</file>

<file path=xl/sharedStrings.xml><?xml version="1.0" encoding="utf-8"?>
<sst xmlns="http://schemas.openxmlformats.org/spreadsheetml/2006/main" count="203" uniqueCount="136">
  <si>
    <t>CARTERAS VALEGA</t>
  </si>
  <si>
    <t xml:space="preserve">Actividad </t>
  </si>
  <si>
    <t xml:space="preserve">Recibir materiales accesorios </t>
  </si>
  <si>
    <t xml:space="preserve">Controlar calidad de accesorios </t>
  </si>
  <si>
    <t xml:space="preserve">Corte de piezas de cuero </t>
  </si>
  <si>
    <t xml:space="preserve">Unir piezas de cartera </t>
  </si>
  <si>
    <t xml:space="preserve">Supervisar acabado de carteras </t>
  </si>
  <si>
    <t xml:space="preserve">Almacenar lotes de carteras terminadas </t>
  </si>
  <si>
    <t xml:space="preserve">Reparación de máquinas </t>
  </si>
  <si>
    <t xml:space="preserve">Inductor </t>
  </si>
  <si>
    <t xml:space="preserve">Guías de ingreso </t>
  </si>
  <si>
    <t xml:space="preserve">Pruebas de calidad </t>
  </si>
  <si>
    <t xml:space="preserve">Número de paños </t>
  </si>
  <si>
    <t xml:space="preserve">Número de carteras </t>
  </si>
  <si>
    <t xml:space="preserve">Lotes de carteras </t>
  </si>
  <si>
    <t xml:space="preserve">Horas máquina </t>
  </si>
  <si>
    <t>TENEMOS</t>
  </si>
  <si>
    <t>TOTAL</t>
  </si>
  <si>
    <t xml:space="preserve">Costo Total </t>
  </si>
  <si>
    <t xml:space="preserve">Costo Unitario </t>
  </si>
  <si>
    <t>CARTERAS PRIMA</t>
  </si>
  <si>
    <t>CARTERAS EMIRA</t>
  </si>
  <si>
    <t>HHombre</t>
  </si>
  <si>
    <t>S/7</t>
  </si>
  <si>
    <t>PLANCHA</t>
  </si>
  <si>
    <t>S/ 160</t>
  </si>
  <si>
    <t>1 PLANCHA</t>
  </si>
  <si>
    <t>Inventario Finales</t>
  </si>
  <si>
    <t>Inventario Inicial</t>
  </si>
  <si>
    <t>20% V</t>
  </si>
  <si>
    <t>10 Paños</t>
  </si>
  <si>
    <t>CARTERA= 4 PAÑOS</t>
  </si>
  <si>
    <t>ALMACENAJE= 20 UNID.</t>
  </si>
  <si>
    <t>GUIAS= 50 P. CALIDAD</t>
  </si>
  <si>
    <t>1 Guia</t>
  </si>
  <si>
    <t>25 Guias</t>
  </si>
  <si>
    <t>Maq. 30%</t>
  </si>
  <si>
    <t>S/180,000</t>
  </si>
  <si>
    <t>S/372,25</t>
  </si>
  <si>
    <t>S/14,89</t>
  </si>
  <si>
    <t>1 Prueba de Calidad</t>
  </si>
  <si>
    <t>S/5,55</t>
  </si>
  <si>
    <t>50 Pruebas de Calidad</t>
  </si>
  <si>
    <t>S/ 277.50</t>
  </si>
  <si>
    <t>1 Lote</t>
  </si>
  <si>
    <t>1,77</t>
  </si>
  <si>
    <t>20 Lotes</t>
  </si>
  <si>
    <t>35,40</t>
  </si>
  <si>
    <t>Costo Total</t>
  </si>
  <si>
    <t>Costo Unitario</t>
  </si>
  <si>
    <t>HH= S/14 (UNID.)</t>
  </si>
  <si>
    <t>HH= S/21 (UNID)</t>
  </si>
  <si>
    <t>CARTERA=  2 Paños</t>
  </si>
  <si>
    <t>Guias=  60 P. CALIDAD</t>
  </si>
  <si>
    <t>ALMACENAJE= 25 UNID.</t>
  </si>
  <si>
    <t>60 Pruebas de Calidad</t>
  </si>
  <si>
    <t>Maq. 40%</t>
  </si>
  <si>
    <t>60 Guias</t>
  </si>
  <si>
    <t>14,89</t>
  </si>
  <si>
    <t>25 Lotes</t>
  </si>
  <si>
    <t>HH</t>
  </si>
  <si>
    <t>Paños</t>
  </si>
  <si>
    <t xml:space="preserve">S/ 7 HH </t>
  </si>
  <si>
    <t>S/ 7 HH</t>
  </si>
  <si>
    <t>HH= S/ 14 (UNID)</t>
  </si>
  <si>
    <t>CARTERA= 2 Paños</t>
  </si>
  <si>
    <t>Guias= 125 P. Calidad</t>
  </si>
  <si>
    <t>ALMACENAJE= 50 UNID.</t>
  </si>
  <si>
    <t>250 Guias</t>
  </si>
  <si>
    <t>125 Pruebas de Calidad</t>
  </si>
  <si>
    <t>50 Lote</t>
  </si>
  <si>
    <t>COSTOS INDIRECTOS DE FABRICACION (CIF)</t>
  </si>
  <si>
    <t>VALERA</t>
  </si>
  <si>
    <t>PRIMA</t>
  </si>
  <si>
    <t>EMIRA</t>
  </si>
  <si>
    <t>2.Mano de Obra Directa</t>
  </si>
  <si>
    <t>3. CIF</t>
  </si>
  <si>
    <t>3.1 Guias de Ingreso</t>
  </si>
  <si>
    <t>3.2 Pruebas de Calidad</t>
  </si>
  <si>
    <t>3.3 Corte de Piezas</t>
  </si>
  <si>
    <t>3.4 Union de Piezas</t>
  </si>
  <si>
    <t>3.5 Supervision de Prod.</t>
  </si>
  <si>
    <t>3.6 Almacenamiento</t>
  </si>
  <si>
    <t>3.7 Reparacion de Maq.</t>
  </si>
  <si>
    <t>1.  Materia Prima</t>
  </si>
  <si>
    <t>COSTO TOTAL</t>
  </si>
  <si>
    <t>COSTO UNITARIO</t>
  </si>
  <si>
    <t>1.-</t>
  </si>
  <si>
    <t>2.- COSTOS ABC</t>
  </si>
  <si>
    <t xml:space="preserve">4.- </t>
  </si>
  <si>
    <t>CUEROS FINOS</t>
  </si>
  <si>
    <t>CHOCOTEJAS GALIA</t>
  </si>
  <si>
    <t>RESPUESTAS</t>
  </si>
  <si>
    <t>1er TRIMESTRE</t>
  </si>
  <si>
    <t>2do TRIMESTRE</t>
  </si>
  <si>
    <t>3er TRIMESTRE</t>
  </si>
  <si>
    <t>4to TRIMESTRE</t>
  </si>
  <si>
    <t>UNID TOTALES</t>
  </si>
  <si>
    <t>UNID</t>
  </si>
  <si>
    <t>VENTA ANUAL</t>
  </si>
  <si>
    <t>SOLES</t>
  </si>
  <si>
    <t xml:space="preserve">No es conveniente esta base de asignacion porque es un  costo fijo lo mejor seria hacer variable la asignacion </t>
  </si>
  <si>
    <t>3.-  Siempre el costeo ABC siempre es mayor que el costeo tradicional. El subsidio seria para el costeo tradicional porque abarca solamente los procesos de produccion en cambio el ABC abarca todas las actividades .</t>
  </si>
  <si>
    <t>1.- PRESUPUESTO DE VENTA (PV= Q*PUV)</t>
  </si>
  <si>
    <t>PRECION UNITARIO DE VENTA S/ 2</t>
  </si>
  <si>
    <t>DETALLE</t>
  </si>
  <si>
    <t>4to Trimestre</t>
  </si>
  <si>
    <t>2.- PRESUESTO DE PRODUCCION (PP= IF+PV-II)</t>
  </si>
  <si>
    <t>CHOCOTEJAS</t>
  </si>
  <si>
    <t>I FINAL</t>
  </si>
  <si>
    <t>NECESIDADES</t>
  </si>
  <si>
    <t>VENTAS</t>
  </si>
  <si>
    <t>I INCIAL</t>
  </si>
  <si>
    <t>PRODUCCION</t>
  </si>
  <si>
    <t>Ventas Proyectadas al inicio de cada Trimestre</t>
  </si>
  <si>
    <t>Inventarios</t>
  </si>
  <si>
    <t>I. FINAL 10%</t>
  </si>
  <si>
    <t>10 Cajas de chocolate es igual a 500 chocotejas</t>
  </si>
  <si>
    <t xml:space="preserve">3er TRIMESTRE </t>
  </si>
  <si>
    <t>P. PRODUCCION</t>
  </si>
  <si>
    <t>I INICIAL</t>
  </si>
  <si>
    <t>COMPRAS REQUERIDAS</t>
  </si>
  <si>
    <t>PRECIO UNITARIO</t>
  </si>
  <si>
    <t>COSTO DE COMPRAS</t>
  </si>
  <si>
    <t>Los insumos comestibles son materiales directos</t>
  </si>
  <si>
    <t>Manjar Blanco</t>
  </si>
  <si>
    <t>Pecana</t>
  </si>
  <si>
    <t xml:space="preserve">Chocolate </t>
  </si>
  <si>
    <t>6.30 por caja</t>
  </si>
  <si>
    <t>5 por pote</t>
  </si>
  <si>
    <t>0.09 por unid.</t>
  </si>
  <si>
    <t>4.- PRESUPUESTOS DE CONSUMO DE MATERIALES DIRECTOS</t>
  </si>
  <si>
    <t xml:space="preserve">Materiales </t>
  </si>
  <si>
    <t>3er Trimestre</t>
  </si>
  <si>
    <t xml:space="preserve">3.- PRESUPUESTO DE COMPRAS DE MATERIALES DIRECTOS </t>
  </si>
  <si>
    <t>El resto de insumos se compra lo que se usa en el 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</si>
</sst>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S/.&quot;\ #,##0;[Red]&quot;S/.&quot;\ \-#,##0"/>
  </numFmts>
  <fonts count="20" x14ac:knownFonts="1">
    <font>
      <sz val="11"/>
      <color theme="1"/>
      <name val="Calibri"/>
      <family val="2"/>
      <scheme val="minor"/>
    </font>
    <font>
      <b/>
      <sz val="11"/>
      <color theme="1"/>
      <name val="Calibri"/>
      <family val="2"/>
      <scheme val="minor"/>
    </font>
    <font>
      <b/>
      <sz val="10"/>
      <color rgb="FFFF0000"/>
      <name val="Batang"/>
      <family val="1"/>
    </font>
    <font>
      <b/>
      <sz val="12"/>
      <color theme="1"/>
      <name val="Batang"/>
      <family val="1"/>
    </font>
    <font>
      <sz val="12"/>
      <color theme="1"/>
      <name val="Batang"/>
      <family val="1"/>
    </font>
    <font>
      <b/>
      <sz val="12"/>
      <color rgb="FF000000"/>
      <name val="Batang"/>
      <family val="1"/>
    </font>
    <font>
      <b/>
      <sz val="10"/>
      <color rgb="FF000000"/>
      <name val="Batang"/>
      <family val="1"/>
    </font>
    <font>
      <sz val="10"/>
      <color theme="1"/>
      <name val="Batang"/>
      <family val="1"/>
    </font>
    <font>
      <sz val="10"/>
      <color theme="1"/>
      <name val="Calibri"/>
      <family val="2"/>
      <scheme val="minor"/>
    </font>
    <font>
      <b/>
      <sz val="10"/>
      <color theme="1"/>
      <name val="Batang"/>
      <family val="1"/>
    </font>
    <font>
      <b/>
      <sz val="10"/>
      <name val="Batang"/>
      <family val="1"/>
    </font>
    <font>
      <sz val="10"/>
      <color rgb="FF070B05"/>
      <name val="Batang"/>
      <family val="1"/>
    </font>
    <font>
      <b/>
      <sz val="11"/>
      <color theme="1"/>
      <name val="Batang"/>
      <family val="1"/>
    </font>
    <font>
      <sz val="10"/>
      <name val="Batang"/>
      <family val="1"/>
    </font>
    <font>
      <b/>
      <sz val="14"/>
      <color theme="1"/>
      <name val="Calibri"/>
      <family val="2"/>
      <scheme val="minor"/>
    </font>
    <font>
      <b/>
      <sz val="9"/>
      <color theme="1"/>
      <name val="Batang"/>
      <family val="1"/>
    </font>
    <font>
      <sz val="9"/>
      <color theme="1"/>
      <name val="Calibri"/>
      <family val="2"/>
      <scheme val="minor"/>
    </font>
    <font>
      <sz val="9"/>
      <color theme="1"/>
      <name val="Batang"/>
      <family val="1"/>
    </font>
    <font>
      <b/>
      <sz val="9"/>
      <color rgb="FFFF0000"/>
      <name val="Batang"/>
      <family val="1"/>
    </font>
    <font>
      <sz val="9"/>
      <color rgb="FFFF0000"/>
      <name val="Batang"/>
      <family val="1"/>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1" fillId="0" borderId="0" xfId="0" applyFont="1"/>
    <xf numFmtId="0" fontId="4" fillId="0" borderId="0" xfId="0" applyFont="1"/>
    <xf numFmtId="0" fontId="5" fillId="0" borderId="1" xfId="0" applyFont="1" applyBorder="1" applyAlignment="1">
      <alignment vertical="center" wrapText="1"/>
    </xf>
    <xf numFmtId="0" fontId="6"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Alignment="1"/>
    <xf numFmtId="0" fontId="8" fillId="0" borderId="0" xfId="0" applyFont="1"/>
    <xf numFmtId="0" fontId="7" fillId="0" borderId="0" xfId="0" applyFont="1"/>
    <xf numFmtId="0" fontId="2" fillId="0" borderId="1" xfId="0" applyFont="1" applyFill="1" applyBorder="1" applyAlignment="1">
      <alignment vertical="center" wrapText="1"/>
    </xf>
    <xf numFmtId="0" fontId="7" fillId="0" borderId="1" xfId="0" applyFont="1" applyBorder="1"/>
    <xf numFmtId="0" fontId="2" fillId="0" borderId="1" xfId="0" applyNumberFormat="1" applyFont="1" applyBorder="1" applyAlignment="1">
      <alignment horizontal="center" wrapText="1"/>
    </xf>
    <xf numFmtId="1" fontId="2" fillId="0" borderId="1" xfId="0" applyNumberFormat="1" applyFont="1" applyBorder="1" applyAlignment="1">
      <alignment horizontal="center" vertical="center" wrapText="1"/>
    </xf>
    <xf numFmtId="1" fontId="0" fillId="0" borderId="0" xfId="0" applyNumberFormat="1"/>
    <xf numFmtId="3" fontId="2" fillId="0" borderId="1" xfId="0" applyNumberFormat="1" applyFont="1" applyBorder="1" applyAlignment="1">
      <alignment horizontal="center"/>
    </xf>
    <xf numFmtId="0" fontId="0" fillId="0" borderId="0" xfId="0" applyAlignment="1">
      <alignment horizontal="center"/>
    </xf>
    <xf numFmtId="0" fontId="9" fillId="0" borderId="0" xfId="0" applyFont="1"/>
    <xf numFmtId="0" fontId="2" fillId="0" borderId="0" xfId="0" applyFont="1" applyFill="1" applyBorder="1" applyAlignment="1"/>
    <xf numFmtId="0" fontId="7" fillId="0" borderId="1" xfId="0" applyFont="1" applyBorder="1" applyAlignment="1">
      <alignment horizontal="center"/>
    </xf>
    <xf numFmtId="0" fontId="7" fillId="0" borderId="1" xfId="0" applyFont="1" applyFill="1" applyBorder="1" applyAlignment="1">
      <alignment horizontal="center"/>
    </xf>
    <xf numFmtId="9" fontId="7" fillId="0" borderId="1" xfId="0" applyNumberFormat="1" applyFont="1" applyBorder="1" applyAlignment="1">
      <alignment horizontal="center"/>
    </xf>
    <xf numFmtId="0" fontId="9" fillId="0" borderId="0" xfId="0" applyFont="1" applyAlignment="1">
      <alignment horizontal="center"/>
    </xf>
    <xf numFmtId="0" fontId="2" fillId="0" borderId="1" xfId="0" applyFont="1" applyBorder="1"/>
    <xf numFmtId="0" fontId="9" fillId="0" borderId="1" xfId="0" applyFont="1" applyBorder="1" applyAlignment="1">
      <alignment horizontal="center"/>
    </xf>
    <xf numFmtId="1" fontId="2" fillId="0" borderId="0" xfId="0" applyNumberFormat="1"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xf numFmtId="0" fontId="2" fillId="0" borderId="3" xfId="0" applyFont="1" applyBorder="1" applyAlignment="1"/>
    <xf numFmtId="0" fontId="7" fillId="0" borderId="0" xfId="0" applyFont="1" applyAlignment="1">
      <alignment horizontal="center"/>
    </xf>
    <xf numFmtId="6" fontId="7" fillId="0" borderId="0" xfId="0" applyNumberFormat="1" applyFont="1" applyAlignment="1">
      <alignment horizontal="center"/>
    </xf>
    <xf numFmtId="0" fontId="7"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0" fillId="2" borderId="0" xfId="0" applyFill="1"/>
    <xf numFmtId="0" fontId="7" fillId="2" borderId="0" xfId="0" applyFont="1" applyFill="1" applyAlignment="1"/>
    <xf numFmtId="0" fontId="13" fillId="2" borderId="0" xfId="0" applyFont="1" applyFill="1"/>
    <xf numFmtId="0" fontId="7" fillId="0" borderId="1" xfId="0" applyFont="1" applyBorder="1" applyAlignment="1">
      <alignment horizontal="left"/>
    </xf>
    <xf numFmtId="0" fontId="2" fillId="0" borderId="1" xfId="0" applyFont="1" applyFill="1" applyBorder="1" applyAlignment="1">
      <alignment horizontal="center"/>
    </xf>
    <xf numFmtId="0" fontId="1" fillId="0" borderId="0" xfId="0" applyFont="1" applyAlignment="1">
      <alignment horizontal="left"/>
    </xf>
    <xf numFmtId="0" fontId="0" fillId="2" borderId="0" xfId="0" applyFont="1" applyFill="1" applyAlignment="1">
      <alignment horizontal="center"/>
    </xf>
    <xf numFmtId="0" fontId="14" fillId="0" borderId="0" xfId="0" applyFont="1"/>
    <xf numFmtId="0" fontId="12" fillId="0" borderId="0"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9" fillId="0" borderId="1" xfId="0" applyFont="1" applyBorder="1" applyAlignment="1">
      <alignment horizontal="center"/>
    </xf>
    <xf numFmtId="0" fontId="7" fillId="0" borderId="1" xfId="0" applyFont="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10" fillId="0" borderId="1" xfId="0" applyFont="1" applyBorder="1" applyAlignment="1">
      <alignment horizontal="center"/>
    </xf>
    <xf numFmtId="0" fontId="15" fillId="0" borderId="0" xfId="0" applyFont="1"/>
    <xf numFmtId="0" fontId="16" fillId="0" borderId="0" xfId="0" applyFont="1"/>
    <xf numFmtId="0" fontId="15" fillId="0" borderId="0" xfId="0" applyFont="1" applyAlignment="1">
      <alignment horizontal="center"/>
    </xf>
    <xf numFmtId="0" fontId="17" fillId="0" borderId="0" xfId="0" applyFont="1" applyAlignment="1">
      <alignment horizontal="center"/>
    </xf>
    <xf numFmtId="0" fontId="17" fillId="0" borderId="1" xfId="0" applyFont="1" applyBorder="1" applyAlignment="1">
      <alignment horizontal="center"/>
    </xf>
    <xf numFmtId="0" fontId="17" fillId="0" borderId="1" xfId="0" applyFont="1" applyFill="1" applyBorder="1" applyAlignment="1">
      <alignment horizontal="center"/>
    </xf>
    <xf numFmtId="0" fontId="17" fillId="0" borderId="0" xfId="0" applyFont="1"/>
    <xf numFmtId="0" fontId="18" fillId="0" borderId="0" xfId="0" applyFont="1"/>
    <xf numFmtId="0" fontId="18" fillId="0" borderId="1" xfId="0" applyFont="1" applyBorder="1" applyAlignment="1">
      <alignment horizontal="center"/>
    </xf>
    <xf numFmtId="0" fontId="18" fillId="0" borderId="1" xfId="0" applyFont="1" applyFill="1" applyBorder="1" applyAlignment="1">
      <alignment horizontal="center"/>
    </xf>
    <xf numFmtId="0" fontId="17" fillId="0" borderId="0" xfId="0" applyFont="1" applyAlignment="1">
      <alignment horizontal="center"/>
    </xf>
    <xf numFmtId="0" fontId="17" fillId="0" borderId="0" xfId="0" applyFont="1" applyAlignment="1"/>
    <xf numFmtId="0" fontId="17" fillId="0" borderId="2" xfId="0" applyFont="1" applyBorder="1" applyAlignment="1">
      <alignment horizontal="center"/>
    </xf>
    <xf numFmtId="0" fontId="17" fillId="0" borderId="5" xfId="0" applyFont="1" applyBorder="1" applyAlignment="1">
      <alignment horizontal="center"/>
    </xf>
    <xf numFmtId="0" fontId="17" fillId="0" borderId="3" xfId="0" applyFont="1" applyBorder="1" applyAlignment="1">
      <alignment horizontal="center"/>
    </xf>
    <xf numFmtId="9" fontId="17" fillId="0" borderId="0" xfId="0" applyNumberFormat="1" applyFont="1"/>
    <xf numFmtId="0" fontId="17" fillId="0" borderId="0" xfId="0" applyFont="1" applyAlignment="1">
      <alignment horizontal="left"/>
    </xf>
    <xf numFmtId="0" fontId="17" fillId="0" borderId="0" xfId="0" applyFont="1" applyFill="1" applyBorder="1" applyAlignment="1">
      <alignment horizontal="center"/>
    </xf>
    <xf numFmtId="0" fontId="17" fillId="0" borderId="0" xfId="0" applyFont="1" applyAlignment="1">
      <alignment horizontal="center" wrapText="1"/>
    </xf>
    <xf numFmtId="0" fontId="19"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070B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opLeftCell="A49" workbookViewId="0">
      <selection activeCell="A61" sqref="A61"/>
    </sheetView>
  </sheetViews>
  <sheetFormatPr baseColWidth="10" defaultRowHeight="15" x14ac:dyDescent="0.25"/>
  <cols>
    <col min="1" max="1" width="14.85546875" customWidth="1"/>
    <col min="2" max="2" width="41.5703125" customWidth="1"/>
    <col min="4" max="4" width="11.42578125" customWidth="1"/>
    <col min="5" max="5" width="23.28515625" customWidth="1"/>
    <col min="6" max="6" width="41.7109375" customWidth="1"/>
    <col min="7" max="7" width="23.5703125" customWidth="1"/>
    <col min="8" max="8" width="15.140625" customWidth="1"/>
    <col min="9" max="9" width="21.5703125" customWidth="1"/>
    <col min="11" max="11" width="18.42578125" customWidth="1"/>
    <col min="14" max="14" width="21.28515625" customWidth="1"/>
    <col min="17" max="17" width="14.85546875" customWidth="1"/>
  </cols>
  <sheetData>
    <row r="1" spans="1:20" ht="18.75" x14ac:dyDescent="0.3">
      <c r="A1" s="40" t="s">
        <v>90</v>
      </c>
    </row>
    <row r="2" spans="1:20" x14ac:dyDescent="0.25">
      <c r="A2" s="38" t="s">
        <v>87</v>
      </c>
    </row>
    <row r="3" spans="1:20" ht="15.75" x14ac:dyDescent="0.25">
      <c r="B3" s="22" t="s">
        <v>0</v>
      </c>
      <c r="C3" s="22"/>
      <c r="D3" s="23">
        <v>10000</v>
      </c>
      <c r="E3" s="2"/>
      <c r="F3" s="2"/>
      <c r="G3" s="2"/>
      <c r="H3" s="2"/>
      <c r="I3" s="2"/>
    </row>
    <row r="4" spans="1:20" ht="15.75" x14ac:dyDescent="0.25">
      <c r="A4" s="24"/>
      <c r="B4" s="54" t="s">
        <v>20</v>
      </c>
      <c r="C4" s="55"/>
      <c r="D4" s="23">
        <v>15000</v>
      </c>
      <c r="E4" s="6"/>
      <c r="F4" s="46" t="s">
        <v>71</v>
      </c>
      <c r="G4" s="46"/>
      <c r="H4" s="46"/>
      <c r="I4" s="46"/>
      <c r="J4" s="46"/>
    </row>
    <row r="5" spans="1:20" ht="15.75" customHeight="1" x14ac:dyDescent="0.25">
      <c r="B5" s="26" t="s">
        <v>21</v>
      </c>
      <c r="C5" s="27"/>
      <c r="D5" s="23">
        <v>20000</v>
      </c>
      <c r="E5" s="2"/>
      <c r="F5" s="3" t="s">
        <v>1</v>
      </c>
      <c r="G5" s="4" t="s">
        <v>18</v>
      </c>
      <c r="H5" s="4" t="s">
        <v>19</v>
      </c>
      <c r="I5" s="4" t="s">
        <v>9</v>
      </c>
    </row>
    <row r="6" spans="1:20" ht="15.75" customHeight="1" x14ac:dyDescent="0.25">
      <c r="B6" s="8"/>
      <c r="C6" s="7"/>
      <c r="D6" s="21">
        <f>SUM(D3:D5)</f>
        <v>45000</v>
      </c>
      <c r="F6" s="5" t="s">
        <v>2</v>
      </c>
      <c r="G6" s="12">
        <v>670000</v>
      </c>
      <c r="H6" s="11">
        <f>G6/45000</f>
        <v>14.888888888888889</v>
      </c>
      <c r="I6" s="5" t="s">
        <v>10</v>
      </c>
    </row>
    <row r="7" spans="1:20" ht="15.75" customHeight="1" x14ac:dyDescent="0.25">
      <c r="B7" s="7"/>
      <c r="C7" s="7"/>
      <c r="D7" s="7"/>
      <c r="F7" s="5" t="s">
        <v>3</v>
      </c>
      <c r="G7" s="12">
        <v>250000</v>
      </c>
      <c r="H7" s="11">
        <f t="shared" ref="H7:H12" si="0">G7/45000</f>
        <v>5.5555555555555554</v>
      </c>
      <c r="I7" s="5" t="s">
        <v>11</v>
      </c>
    </row>
    <row r="8" spans="1:20" ht="15.75" customHeight="1" x14ac:dyDescent="0.25">
      <c r="B8" s="17" t="s">
        <v>16</v>
      </c>
      <c r="C8" s="7"/>
      <c r="D8" s="7"/>
      <c r="F8" s="5" t="s">
        <v>4</v>
      </c>
      <c r="G8" s="12">
        <v>50000</v>
      </c>
      <c r="H8" s="11">
        <f t="shared" si="0"/>
        <v>1.1111111111111112</v>
      </c>
      <c r="I8" s="5" t="s">
        <v>12</v>
      </c>
    </row>
    <row r="9" spans="1:20" ht="15.75" customHeight="1" x14ac:dyDescent="0.25">
      <c r="B9" s="18" t="s">
        <v>22</v>
      </c>
      <c r="C9" s="18" t="s">
        <v>23</v>
      </c>
      <c r="D9" s="7"/>
      <c r="F9" s="5" t="s">
        <v>5</v>
      </c>
      <c r="G9" s="12">
        <v>500000</v>
      </c>
      <c r="H9" s="11">
        <f t="shared" si="0"/>
        <v>11.111111111111111</v>
      </c>
      <c r="I9" s="5" t="s">
        <v>12</v>
      </c>
    </row>
    <row r="10" spans="1:20" ht="15.75" customHeight="1" x14ac:dyDescent="0.25">
      <c r="B10" s="18" t="s">
        <v>24</v>
      </c>
      <c r="C10" s="18" t="s">
        <v>25</v>
      </c>
      <c r="D10" s="7"/>
      <c r="F10" s="5" t="s">
        <v>6</v>
      </c>
      <c r="G10" s="12">
        <v>360000</v>
      </c>
      <c r="H10" s="11">
        <f t="shared" si="0"/>
        <v>8</v>
      </c>
      <c r="I10" s="5" t="s">
        <v>13</v>
      </c>
    </row>
    <row r="11" spans="1:20" ht="15.75" customHeight="1" x14ac:dyDescent="0.25">
      <c r="B11" s="18" t="s">
        <v>26</v>
      </c>
      <c r="C11" s="18" t="s">
        <v>30</v>
      </c>
      <c r="D11" s="7"/>
      <c r="F11" s="5" t="s">
        <v>7</v>
      </c>
      <c r="G11" s="12">
        <v>80000</v>
      </c>
      <c r="H11" s="11">
        <f t="shared" si="0"/>
        <v>1.7777777777777777</v>
      </c>
      <c r="I11" s="5" t="s">
        <v>14</v>
      </c>
    </row>
    <row r="12" spans="1:20" ht="15.75" customHeight="1" x14ac:dyDescent="0.25">
      <c r="B12" s="19" t="s">
        <v>28</v>
      </c>
      <c r="C12" s="18">
        <v>0</v>
      </c>
      <c r="D12" s="7"/>
      <c r="F12" s="5" t="s">
        <v>8</v>
      </c>
      <c r="G12" s="12">
        <v>600000</v>
      </c>
      <c r="H12" s="11">
        <f t="shared" si="0"/>
        <v>13.333333333333334</v>
      </c>
      <c r="I12" s="5" t="s">
        <v>15</v>
      </c>
    </row>
    <row r="13" spans="1:20" x14ac:dyDescent="0.25">
      <c r="B13" s="19" t="s">
        <v>27</v>
      </c>
      <c r="C13" s="20" t="s">
        <v>29</v>
      </c>
      <c r="D13" s="7"/>
      <c r="F13" s="9" t="s">
        <v>17</v>
      </c>
      <c r="G13" s="14">
        <f>SUM(G6:G12)</f>
        <v>2510000</v>
      </c>
      <c r="H13" s="14">
        <f>SUM(H6:H12)</f>
        <v>55.777777777777779</v>
      </c>
      <c r="I13" s="10"/>
    </row>
    <row r="14" spans="1:20" x14ac:dyDescent="0.25">
      <c r="B14" s="7"/>
      <c r="C14" s="7"/>
      <c r="D14" s="7"/>
      <c r="G14" s="13"/>
    </row>
    <row r="15" spans="1:20" x14ac:dyDescent="0.25">
      <c r="B15" s="56" t="s">
        <v>0</v>
      </c>
      <c r="C15" s="56"/>
      <c r="D15" s="7"/>
      <c r="G15" s="44" t="s">
        <v>20</v>
      </c>
      <c r="H15" s="45"/>
      <c r="N15" s="48" t="s">
        <v>21</v>
      </c>
      <c r="O15" s="48"/>
      <c r="P15" s="8"/>
      <c r="Q15" s="8"/>
      <c r="R15" s="8"/>
      <c r="S15" s="8"/>
      <c r="T15" s="8"/>
    </row>
    <row r="16" spans="1:20" x14ac:dyDescent="0.25">
      <c r="B16" s="50" t="s">
        <v>50</v>
      </c>
      <c r="C16" s="51"/>
      <c r="D16" s="7"/>
      <c r="G16" s="42" t="s">
        <v>51</v>
      </c>
      <c r="H16" s="43"/>
      <c r="N16" s="49" t="s">
        <v>64</v>
      </c>
      <c r="O16" s="49"/>
      <c r="P16" s="8"/>
      <c r="Q16" s="8"/>
      <c r="R16" s="8"/>
      <c r="S16" s="8"/>
      <c r="T16" s="8"/>
    </row>
    <row r="17" spans="2:20" x14ac:dyDescent="0.25">
      <c r="B17" s="50" t="s">
        <v>31</v>
      </c>
      <c r="C17" s="51"/>
      <c r="D17" s="7"/>
      <c r="G17" s="42" t="s">
        <v>52</v>
      </c>
      <c r="H17" s="43"/>
      <c r="N17" s="49" t="s">
        <v>65</v>
      </c>
      <c r="O17" s="49"/>
      <c r="P17" s="8"/>
      <c r="Q17" s="8"/>
      <c r="R17" s="8"/>
      <c r="S17" s="8"/>
      <c r="T17" s="8"/>
    </row>
    <row r="18" spans="2:20" x14ac:dyDescent="0.25">
      <c r="B18" s="52" t="s">
        <v>33</v>
      </c>
      <c r="C18" s="53"/>
      <c r="D18" s="7"/>
      <c r="G18" s="42" t="s">
        <v>53</v>
      </c>
      <c r="H18" s="43"/>
      <c r="N18" s="49" t="s">
        <v>66</v>
      </c>
      <c r="O18" s="49"/>
      <c r="P18" s="8"/>
      <c r="Q18" s="8"/>
      <c r="R18" s="8"/>
      <c r="S18" s="8"/>
      <c r="T18" s="8"/>
    </row>
    <row r="19" spans="2:20" x14ac:dyDescent="0.25">
      <c r="B19" s="42" t="s">
        <v>32</v>
      </c>
      <c r="C19" s="43"/>
      <c r="D19" s="7"/>
      <c r="G19" s="42" t="s">
        <v>54</v>
      </c>
      <c r="H19" s="43"/>
      <c r="N19" s="49" t="s">
        <v>67</v>
      </c>
      <c r="O19" s="49"/>
      <c r="P19" s="8"/>
      <c r="Q19" s="8"/>
      <c r="R19" s="8"/>
      <c r="S19" s="8"/>
      <c r="T19" s="8"/>
    </row>
    <row r="20" spans="2:20" x14ac:dyDescent="0.25">
      <c r="B20" s="7"/>
      <c r="C20" s="7"/>
      <c r="D20" s="7"/>
      <c r="N20" s="8"/>
      <c r="O20" s="8"/>
      <c r="P20" s="8"/>
      <c r="Q20" s="8"/>
      <c r="R20" s="8"/>
      <c r="S20" s="8"/>
      <c r="T20" s="8"/>
    </row>
    <row r="21" spans="2:20" x14ac:dyDescent="0.25">
      <c r="B21" s="28">
        <v>10000</v>
      </c>
      <c r="C21" s="28">
        <v>4</v>
      </c>
      <c r="D21" s="28">
        <f>B21*4</f>
        <v>40000</v>
      </c>
      <c r="E21" s="8" t="s">
        <v>61</v>
      </c>
      <c r="N21" s="28">
        <v>20000</v>
      </c>
      <c r="O21" s="28">
        <v>2</v>
      </c>
      <c r="P21" s="28">
        <f>N21*2</f>
        <v>40000</v>
      </c>
      <c r="Q21" s="8"/>
      <c r="R21" s="8"/>
      <c r="S21" s="8"/>
      <c r="T21" s="8"/>
    </row>
    <row r="22" spans="2:20" x14ac:dyDescent="0.25">
      <c r="B22" s="28">
        <v>10000</v>
      </c>
      <c r="C22" s="28">
        <v>2</v>
      </c>
      <c r="D22" s="28">
        <f>B22*2</f>
        <v>20000</v>
      </c>
      <c r="E22" s="8" t="s">
        <v>60</v>
      </c>
      <c r="G22" s="28">
        <v>15000</v>
      </c>
      <c r="H22" s="28">
        <v>2</v>
      </c>
      <c r="I22" s="28">
        <f>G22*2</f>
        <v>30000</v>
      </c>
      <c r="N22" s="28">
        <v>20000</v>
      </c>
      <c r="O22" s="28">
        <v>2</v>
      </c>
      <c r="P22" s="28">
        <f>N22*2</f>
        <v>40000</v>
      </c>
      <c r="Q22" s="8"/>
      <c r="R22" s="8"/>
      <c r="S22" s="8"/>
      <c r="T22" s="8"/>
    </row>
    <row r="23" spans="2:20" x14ac:dyDescent="0.25">
      <c r="B23" s="28" t="s">
        <v>62</v>
      </c>
      <c r="C23" s="28">
        <v>20000</v>
      </c>
      <c r="D23" s="29">
        <f>C23*7</f>
        <v>140000</v>
      </c>
      <c r="E23" s="8"/>
      <c r="G23" s="28">
        <v>15000</v>
      </c>
      <c r="H23" s="28">
        <v>3</v>
      </c>
      <c r="I23" s="28">
        <f>G23*3</f>
        <v>45000</v>
      </c>
      <c r="N23" s="28" t="s">
        <v>63</v>
      </c>
      <c r="O23" s="28">
        <v>40000</v>
      </c>
      <c r="P23" s="28">
        <f>O23*7</f>
        <v>280000</v>
      </c>
      <c r="Q23" s="8"/>
      <c r="R23" s="8"/>
      <c r="S23" s="8"/>
      <c r="T23" s="8"/>
    </row>
    <row r="24" spans="2:20" x14ac:dyDescent="0.25">
      <c r="B24" s="28"/>
      <c r="C24" s="28"/>
      <c r="D24" s="29"/>
      <c r="E24" s="8"/>
      <c r="G24" s="28" t="s">
        <v>63</v>
      </c>
      <c r="H24" s="28">
        <v>45000</v>
      </c>
      <c r="I24" s="28">
        <f>H24*7</f>
        <v>315000</v>
      </c>
      <c r="N24" s="28" t="s">
        <v>34</v>
      </c>
      <c r="O24" s="28">
        <v>14.89</v>
      </c>
      <c r="P24" s="28"/>
      <c r="Q24" s="8"/>
      <c r="R24" s="8"/>
      <c r="S24" s="8"/>
      <c r="T24" s="8"/>
    </row>
    <row r="25" spans="2:20" x14ac:dyDescent="0.25">
      <c r="B25" s="28" t="s">
        <v>34</v>
      </c>
      <c r="C25" s="28" t="s">
        <v>39</v>
      </c>
      <c r="D25" s="28"/>
      <c r="E25" s="8"/>
      <c r="G25" s="28" t="s">
        <v>34</v>
      </c>
      <c r="H25" s="28" t="s">
        <v>58</v>
      </c>
      <c r="I25" s="28"/>
      <c r="N25" s="28" t="s">
        <v>68</v>
      </c>
      <c r="O25" s="28">
        <v>3722.5</v>
      </c>
      <c r="P25" s="28"/>
      <c r="Q25" s="8"/>
      <c r="R25" s="8"/>
      <c r="S25" s="8"/>
      <c r="T25" s="8"/>
    </row>
    <row r="26" spans="2:20" x14ac:dyDescent="0.25">
      <c r="B26" s="28" t="s">
        <v>35</v>
      </c>
      <c r="C26" s="28" t="s">
        <v>38</v>
      </c>
      <c r="D26" s="28"/>
      <c r="E26" s="8"/>
      <c r="G26" s="28" t="s">
        <v>57</v>
      </c>
      <c r="H26" s="28">
        <v>893.4</v>
      </c>
      <c r="I26" s="28"/>
      <c r="N26" s="28" t="s">
        <v>36</v>
      </c>
      <c r="O26" s="28">
        <v>180000</v>
      </c>
      <c r="P26" s="28"/>
      <c r="Q26" s="8"/>
      <c r="R26" s="8"/>
      <c r="S26" s="8"/>
      <c r="T26" s="8"/>
    </row>
    <row r="27" spans="2:20" x14ac:dyDescent="0.25">
      <c r="B27" s="28" t="s">
        <v>36</v>
      </c>
      <c r="C27" s="28" t="s">
        <v>37</v>
      </c>
      <c r="D27" s="28"/>
      <c r="E27" s="8"/>
      <c r="G27" s="28" t="s">
        <v>56</v>
      </c>
      <c r="H27" s="28">
        <v>240000</v>
      </c>
      <c r="I27" s="28"/>
      <c r="N27" s="28" t="s">
        <v>40</v>
      </c>
      <c r="O27" s="28">
        <v>5.55</v>
      </c>
      <c r="P27" s="28"/>
      <c r="Q27" s="8"/>
      <c r="R27" s="8"/>
      <c r="S27" s="8"/>
      <c r="T27" s="8"/>
    </row>
    <row r="28" spans="2:20" x14ac:dyDescent="0.25">
      <c r="B28" s="28" t="s">
        <v>40</v>
      </c>
      <c r="C28" s="28" t="s">
        <v>41</v>
      </c>
      <c r="D28" s="15"/>
      <c r="E28" s="8"/>
      <c r="G28" s="28" t="s">
        <v>40</v>
      </c>
      <c r="H28" s="28" t="s">
        <v>41</v>
      </c>
      <c r="I28" s="28"/>
      <c r="N28" s="28" t="s">
        <v>69</v>
      </c>
      <c r="O28" s="28">
        <v>693.73</v>
      </c>
      <c r="P28" s="28"/>
      <c r="Q28" s="8"/>
      <c r="R28" s="8"/>
      <c r="S28" s="8"/>
      <c r="T28" s="8"/>
    </row>
    <row r="29" spans="2:20" x14ac:dyDescent="0.25">
      <c r="B29" s="28" t="s">
        <v>42</v>
      </c>
      <c r="C29" s="28" t="s">
        <v>43</v>
      </c>
      <c r="D29" s="28"/>
      <c r="E29" s="8"/>
      <c r="G29" s="28" t="s">
        <v>55</v>
      </c>
      <c r="H29" s="28">
        <v>333</v>
      </c>
      <c r="I29" s="28"/>
      <c r="N29" s="28" t="s">
        <v>44</v>
      </c>
      <c r="O29" s="28">
        <v>1.77</v>
      </c>
      <c r="P29" s="28"/>
      <c r="Q29" s="8"/>
      <c r="R29" s="8"/>
      <c r="S29" s="8"/>
      <c r="T29" s="8"/>
    </row>
    <row r="30" spans="2:20" x14ac:dyDescent="0.25">
      <c r="B30" s="28" t="s">
        <v>44</v>
      </c>
      <c r="C30" s="28" t="s">
        <v>45</v>
      </c>
      <c r="D30" s="28"/>
      <c r="E30" s="8"/>
      <c r="G30" s="28" t="s">
        <v>44</v>
      </c>
      <c r="H30" s="28">
        <v>1.77</v>
      </c>
      <c r="I30" s="28"/>
      <c r="N30" s="28" t="s">
        <v>70</v>
      </c>
      <c r="O30" s="28">
        <v>88.5</v>
      </c>
      <c r="P30" s="28"/>
      <c r="Q30" s="8"/>
      <c r="R30" s="8"/>
      <c r="S30" s="8"/>
      <c r="T30" s="8"/>
    </row>
    <row r="31" spans="2:20" x14ac:dyDescent="0.25">
      <c r="B31" s="28" t="s">
        <v>46</v>
      </c>
      <c r="C31" s="28" t="s">
        <v>47</v>
      </c>
      <c r="D31" s="28"/>
      <c r="G31" s="28" t="s">
        <v>59</v>
      </c>
      <c r="H31" s="28">
        <v>44.25</v>
      </c>
      <c r="I31" s="28"/>
      <c r="N31" s="28"/>
      <c r="O31" s="28"/>
      <c r="P31" s="28"/>
      <c r="Q31" s="8"/>
      <c r="R31" s="8"/>
      <c r="S31" s="8"/>
      <c r="T31" s="8"/>
    </row>
    <row r="32" spans="2:20" x14ac:dyDescent="0.25">
      <c r="B32" s="28"/>
      <c r="C32" s="28"/>
      <c r="D32" s="28"/>
      <c r="G32" s="28"/>
      <c r="H32" s="28"/>
      <c r="I32" s="28"/>
      <c r="N32" s="28"/>
      <c r="O32" s="28"/>
      <c r="P32" s="28"/>
      <c r="Q32" s="8"/>
      <c r="R32" s="8"/>
      <c r="S32" s="8"/>
      <c r="T32" s="8"/>
    </row>
    <row r="33" spans="1:20" x14ac:dyDescent="0.25">
      <c r="B33" s="28" t="s">
        <v>48</v>
      </c>
      <c r="C33" s="28">
        <v>140000</v>
      </c>
      <c r="D33" s="28"/>
      <c r="E33" s="30" t="s">
        <v>49</v>
      </c>
      <c r="F33" s="39">
        <f>C38/10000</f>
        <v>32.068515000000005</v>
      </c>
      <c r="G33" s="28" t="s">
        <v>48</v>
      </c>
      <c r="H33" s="28">
        <v>315000</v>
      </c>
      <c r="I33" s="28"/>
      <c r="J33" s="34" t="s">
        <v>49</v>
      </c>
      <c r="K33" s="34"/>
      <c r="L33" s="33">
        <f>H38/15000</f>
        <v>37.084710000000001</v>
      </c>
      <c r="N33" s="28" t="s">
        <v>48</v>
      </c>
      <c r="O33" s="28">
        <v>280000</v>
      </c>
      <c r="P33" s="28"/>
      <c r="Q33" s="35" t="s">
        <v>49</v>
      </c>
      <c r="R33" s="35">
        <f>O38/20000</f>
        <v>23.225236499999998</v>
      </c>
      <c r="S33" s="8"/>
      <c r="T33" s="8"/>
    </row>
    <row r="34" spans="1:20" x14ac:dyDescent="0.25">
      <c r="B34" s="28"/>
      <c r="C34" s="28">
        <v>180000</v>
      </c>
      <c r="D34" s="28"/>
      <c r="G34" s="8"/>
      <c r="H34" s="28">
        <v>240000</v>
      </c>
      <c r="I34" s="8"/>
      <c r="N34" s="28"/>
      <c r="O34" s="28">
        <v>180000</v>
      </c>
      <c r="P34" s="28"/>
      <c r="Q34" s="8"/>
      <c r="R34" s="8"/>
      <c r="S34" s="8"/>
      <c r="T34" s="8"/>
    </row>
    <row r="35" spans="1:20" x14ac:dyDescent="0.25">
      <c r="B35" s="28"/>
      <c r="C35" s="28">
        <v>372.25</v>
      </c>
      <c r="D35" s="28"/>
      <c r="G35" s="8"/>
      <c r="H35" s="28">
        <v>893.4</v>
      </c>
      <c r="I35" s="8"/>
      <c r="N35" s="28"/>
      <c r="O35" s="28">
        <v>3722.5</v>
      </c>
      <c r="P35" s="28"/>
      <c r="Q35" s="8"/>
      <c r="R35" s="8"/>
      <c r="S35" s="8"/>
      <c r="T35" s="8"/>
    </row>
    <row r="36" spans="1:20" x14ac:dyDescent="0.25">
      <c r="B36" s="28"/>
      <c r="C36" s="28">
        <v>277.5</v>
      </c>
      <c r="D36" s="28"/>
      <c r="G36" s="8"/>
      <c r="H36" s="28">
        <v>333</v>
      </c>
      <c r="I36" s="8"/>
      <c r="N36" s="28"/>
      <c r="O36" s="28">
        <v>693.73</v>
      </c>
      <c r="P36" s="28"/>
      <c r="Q36" s="8"/>
      <c r="R36" s="8"/>
      <c r="S36" s="8"/>
      <c r="T36" s="8"/>
    </row>
    <row r="37" spans="1:20" x14ac:dyDescent="0.25">
      <c r="B37" s="28"/>
      <c r="C37" s="28">
        <v>35.4</v>
      </c>
      <c r="D37" s="28"/>
      <c r="G37" s="8"/>
      <c r="H37" s="28">
        <v>44.25</v>
      </c>
      <c r="I37" s="8"/>
      <c r="N37" s="28"/>
      <c r="O37" s="28">
        <v>88.5</v>
      </c>
      <c r="P37" s="28"/>
      <c r="Q37" s="8"/>
      <c r="R37" s="8"/>
      <c r="S37" s="8"/>
      <c r="T37" s="8"/>
    </row>
    <row r="38" spans="1:20" x14ac:dyDescent="0.25">
      <c r="B38" s="15"/>
      <c r="C38" s="31">
        <f>SUM(C33:C37)</f>
        <v>320685.15000000002</v>
      </c>
      <c r="D38" s="15"/>
      <c r="G38" s="8"/>
      <c r="H38" s="32">
        <f>SUM(H33:H37)</f>
        <v>556270.65</v>
      </c>
      <c r="I38" s="8"/>
      <c r="N38" s="28"/>
      <c r="O38" s="31">
        <f>SUM(O33:O37)</f>
        <v>464504.73</v>
      </c>
      <c r="P38" s="28"/>
      <c r="Q38" s="8"/>
      <c r="R38" s="8"/>
      <c r="S38" s="8"/>
      <c r="T38" s="8"/>
    </row>
    <row r="39" spans="1:20" x14ac:dyDescent="0.25">
      <c r="G39" s="8"/>
      <c r="H39" s="8"/>
      <c r="I39" s="8"/>
      <c r="N39" s="28"/>
      <c r="O39" s="28"/>
      <c r="P39" s="28"/>
      <c r="Q39" s="8"/>
      <c r="R39" s="8"/>
      <c r="S39" s="8"/>
      <c r="T39" s="8"/>
    </row>
    <row r="40" spans="1:20" x14ac:dyDescent="0.25">
      <c r="G40" s="8"/>
      <c r="H40" s="8"/>
      <c r="I40" s="8"/>
    </row>
    <row r="41" spans="1:20" x14ac:dyDescent="0.25">
      <c r="A41" t="s">
        <v>101</v>
      </c>
    </row>
    <row r="44" spans="1:20" x14ac:dyDescent="0.25">
      <c r="A44" s="16" t="s">
        <v>88</v>
      </c>
    </row>
    <row r="46" spans="1:20" ht="15.75" x14ac:dyDescent="0.25">
      <c r="B46" s="47" t="s">
        <v>71</v>
      </c>
      <c r="C46" s="47"/>
      <c r="D46" s="47"/>
      <c r="E46" s="47"/>
      <c r="F46" s="6"/>
    </row>
    <row r="47" spans="1:20" ht="15.75" customHeight="1" x14ac:dyDescent="0.25">
      <c r="B47" s="3" t="s">
        <v>1</v>
      </c>
      <c r="C47" s="4" t="s">
        <v>18</v>
      </c>
      <c r="D47" s="4" t="s">
        <v>19</v>
      </c>
      <c r="E47" s="4" t="s">
        <v>9</v>
      </c>
      <c r="G47" s="10"/>
      <c r="H47" s="23" t="s">
        <v>72</v>
      </c>
      <c r="I47" s="23" t="s">
        <v>73</v>
      </c>
      <c r="J47" s="23" t="s">
        <v>74</v>
      </c>
      <c r="K47" s="23" t="s">
        <v>85</v>
      </c>
    </row>
    <row r="48" spans="1:20" ht="16.5" customHeight="1" x14ac:dyDescent="0.25">
      <c r="B48" s="5" t="s">
        <v>2</v>
      </c>
      <c r="C48" s="12">
        <v>670000</v>
      </c>
      <c r="D48" s="11">
        <f>C48/45000</f>
        <v>14.888888888888889</v>
      </c>
      <c r="E48" s="5" t="s">
        <v>10</v>
      </c>
      <c r="G48" s="36" t="s">
        <v>84</v>
      </c>
      <c r="H48" s="18">
        <v>160</v>
      </c>
      <c r="I48" s="18">
        <v>160</v>
      </c>
      <c r="J48" s="18">
        <v>160</v>
      </c>
      <c r="K48" s="25">
        <f>SUM(H48:J48)</f>
        <v>480</v>
      </c>
    </row>
    <row r="49" spans="1:11" ht="15.75" customHeight="1" x14ac:dyDescent="0.25">
      <c r="B49" s="5" t="s">
        <v>3</v>
      </c>
      <c r="C49" s="12">
        <v>250000</v>
      </c>
      <c r="D49" s="11">
        <f t="shared" ref="D49:D54" si="1">C49/45000</f>
        <v>5.5555555555555554</v>
      </c>
      <c r="E49" s="5" t="s">
        <v>11</v>
      </c>
      <c r="G49" s="36" t="s">
        <v>75</v>
      </c>
      <c r="H49" s="18">
        <v>14</v>
      </c>
      <c r="I49" s="18">
        <v>21</v>
      </c>
      <c r="J49" s="18">
        <v>14</v>
      </c>
      <c r="K49" s="25">
        <f>SUM(H49:J49)</f>
        <v>49</v>
      </c>
    </row>
    <row r="50" spans="1:11" ht="15.75" customHeight="1" x14ac:dyDescent="0.25">
      <c r="B50" s="5" t="s">
        <v>4</v>
      </c>
      <c r="C50" s="12">
        <v>50000</v>
      </c>
      <c r="D50" s="11">
        <f t="shared" si="1"/>
        <v>1.1111111111111112</v>
      </c>
      <c r="E50" s="5" t="s">
        <v>12</v>
      </c>
      <c r="G50" s="36" t="s">
        <v>76</v>
      </c>
      <c r="H50" s="18">
        <f>SUM(H51:H57)</f>
        <v>376.11</v>
      </c>
      <c r="I50" s="18">
        <f t="shared" ref="I50:J50" si="2">SUM(I51:I57)</f>
        <v>481.47</v>
      </c>
      <c r="J50" s="18">
        <f t="shared" si="2"/>
        <v>1070.47</v>
      </c>
      <c r="K50" s="25">
        <f>SUM(H50:J50)</f>
        <v>1928.0500000000002</v>
      </c>
    </row>
    <row r="51" spans="1:11" ht="15.75" customHeight="1" x14ac:dyDescent="0.25">
      <c r="B51" s="5" t="s">
        <v>5</v>
      </c>
      <c r="C51" s="12">
        <v>500000</v>
      </c>
      <c r="D51" s="11">
        <f t="shared" si="1"/>
        <v>11.111111111111111</v>
      </c>
      <c r="E51" s="5" t="s">
        <v>12</v>
      </c>
      <c r="G51" s="36" t="s">
        <v>77</v>
      </c>
      <c r="H51" s="18">
        <v>25</v>
      </c>
      <c r="I51" s="18">
        <v>60</v>
      </c>
      <c r="J51" s="18">
        <v>250</v>
      </c>
      <c r="K51" s="18"/>
    </row>
    <row r="52" spans="1:11" ht="15.75" customHeight="1" x14ac:dyDescent="0.25">
      <c r="B52" s="5" t="s">
        <v>6</v>
      </c>
      <c r="C52" s="12">
        <v>360000</v>
      </c>
      <c r="D52" s="11">
        <f t="shared" si="1"/>
        <v>8</v>
      </c>
      <c r="E52" s="5" t="s">
        <v>13</v>
      </c>
      <c r="G52" s="36" t="s">
        <v>78</v>
      </c>
      <c r="H52" s="18">
        <f>50*5.55</f>
        <v>277.5</v>
      </c>
      <c r="I52" s="18">
        <f>60*5.55</f>
        <v>333</v>
      </c>
      <c r="J52" s="18">
        <f>125*5.55</f>
        <v>693.75</v>
      </c>
      <c r="K52" s="18"/>
    </row>
    <row r="53" spans="1:11" ht="15.75" customHeight="1" x14ac:dyDescent="0.25">
      <c r="B53" s="5" t="s">
        <v>7</v>
      </c>
      <c r="C53" s="12">
        <v>80000</v>
      </c>
      <c r="D53" s="11">
        <f t="shared" si="1"/>
        <v>1.7777777777777777</v>
      </c>
      <c r="E53" s="5" t="s">
        <v>14</v>
      </c>
      <c r="G53" s="36" t="s">
        <v>79</v>
      </c>
      <c r="H53" s="18">
        <v>1.1100000000000001</v>
      </c>
      <c r="I53" s="18">
        <v>1.1100000000000001</v>
      </c>
      <c r="J53" s="18">
        <v>1.1100000000000001</v>
      </c>
      <c r="K53" s="18"/>
    </row>
    <row r="54" spans="1:11" ht="15.75" customHeight="1" x14ac:dyDescent="0.25">
      <c r="B54" s="5" t="s">
        <v>8</v>
      </c>
      <c r="C54" s="12">
        <v>600000</v>
      </c>
      <c r="D54" s="11">
        <f t="shared" si="1"/>
        <v>13.333333333333334</v>
      </c>
      <c r="E54" s="5" t="s">
        <v>15</v>
      </c>
      <c r="G54" s="36" t="s">
        <v>80</v>
      </c>
      <c r="H54" s="18">
        <v>11.1</v>
      </c>
      <c r="I54" s="18">
        <v>11.11</v>
      </c>
      <c r="J54" s="18">
        <v>11.11</v>
      </c>
      <c r="K54" s="18"/>
    </row>
    <row r="55" spans="1:11" x14ac:dyDescent="0.25">
      <c r="B55" s="9" t="s">
        <v>17</v>
      </c>
      <c r="C55" s="14">
        <f>SUM(C48:C54)</f>
        <v>2510000</v>
      </c>
      <c r="D55" s="14">
        <f>SUM(D48:D54)</f>
        <v>55.777777777777779</v>
      </c>
      <c r="E55" s="10"/>
      <c r="G55" s="36" t="s">
        <v>81</v>
      </c>
      <c r="H55" s="18">
        <v>8</v>
      </c>
      <c r="I55" s="18">
        <v>8</v>
      </c>
      <c r="J55" s="18">
        <v>8</v>
      </c>
      <c r="K55" s="18"/>
    </row>
    <row r="56" spans="1:11" x14ac:dyDescent="0.25">
      <c r="G56" s="36" t="s">
        <v>82</v>
      </c>
      <c r="H56" s="18">
        <f>20*1.77</f>
        <v>35.4</v>
      </c>
      <c r="I56" s="18">
        <f>25*1.77</f>
        <v>44.25</v>
      </c>
      <c r="J56" s="18">
        <f>50*1.77</f>
        <v>88.5</v>
      </c>
      <c r="K56" s="18"/>
    </row>
    <row r="57" spans="1:11" x14ac:dyDescent="0.25">
      <c r="G57" s="36" t="s">
        <v>83</v>
      </c>
      <c r="H57" s="18">
        <v>18</v>
      </c>
      <c r="I57" s="18">
        <v>24</v>
      </c>
      <c r="J57" s="18">
        <v>18</v>
      </c>
      <c r="K57" s="18"/>
    </row>
    <row r="58" spans="1:11" x14ac:dyDescent="0.25">
      <c r="G58" s="37" t="s">
        <v>86</v>
      </c>
      <c r="H58" s="18">
        <f>SUM(H48:H50)</f>
        <v>550.11</v>
      </c>
      <c r="I58" s="18">
        <f t="shared" ref="I58:J58" si="3">SUM(I48:I50)</f>
        <v>662.47</v>
      </c>
      <c r="J58" s="18">
        <f t="shared" si="3"/>
        <v>1244.47</v>
      </c>
      <c r="K58" s="37">
        <f>SUM(H58:J58)</f>
        <v>2457.0500000000002</v>
      </c>
    </row>
    <row r="59" spans="1:11" x14ac:dyDescent="0.25">
      <c r="A59" s="38" t="s">
        <v>102</v>
      </c>
    </row>
    <row r="61" spans="1:11" x14ac:dyDescent="0.25">
      <c r="A61" s="1" t="s">
        <v>89</v>
      </c>
    </row>
  </sheetData>
  <mergeCells count="18">
    <mergeCell ref="N15:O15"/>
    <mergeCell ref="N16:O16"/>
    <mergeCell ref="N17:O17"/>
    <mergeCell ref="N18:O18"/>
    <mergeCell ref="N19:O19"/>
    <mergeCell ref="G17:H17"/>
    <mergeCell ref="G16:H16"/>
    <mergeCell ref="G15:H15"/>
    <mergeCell ref="F4:J4"/>
    <mergeCell ref="B46:E46"/>
    <mergeCell ref="G19:H19"/>
    <mergeCell ref="G18:H18"/>
    <mergeCell ref="B17:C17"/>
    <mergeCell ref="B18:C18"/>
    <mergeCell ref="B19:C19"/>
    <mergeCell ref="B4:C4"/>
    <mergeCell ref="B15:C15"/>
    <mergeCell ref="B16:C16"/>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tabSelected="1" topLeftCell="A20" workbookViewId="0">
      <selection activeCell="F32" sqref="F32"/>
    </sheetView>
  </sheetViews>
  <sheetFormatPr baseColWidth="10" defaultRowHeight="15" x14ac:dyDescent="0.25"/>
  <cols>
    <col min="1" max="1" width="24.5703125" customWidth="1"/>
    <col min="2" max="2" width="21.5703125" customWidth="1"/>
    <col min="3" max="3" width="6.85546875" customWidth="1"/>
    <col min="4" max="4" width="6.42578125" customWidth="1"/>
    <col min="5" max="5" width="21.85546875" customWidth="1"/>
    <col min="6" max="9" width="18.5703125" customWidth="1"/>
    <col min="10" max="10" width="11.7109375" customWidth="1"/>
  </cols>
  <sheetData>
    <row r="2" spans="1:10" x14ac:dyDescent="0.25">
      <c r="A2" s="64" t="s">
        <v>91</v>
      </c>
      <c r="B2" s="58"/>
      <c r="C2" s="58"/>
      <c r="E2" s="63"/>
      <c r="F2" s="63"/>
      <c r="G2" s="63"/>
      <c r="H2" s="63"/>
      <c r="I2" s="63"/>
      <c r="J2" s="63"/>
    </row>
    <row r="3" spans="1:10" x14ac:dyDescent="0.25">
      <c r="A3" s="58"/>
      <c r="B3" s="58"/>
      <c r="C3" s="58"/>
      <c r="E3" s="63"/>
      <c r="F3" s="63"/>
      <c r="G3" s="63"/>
      <c r="H3" s="63"/>
      <c r="I3" s="63"/>
      <c r="J3" s="63"/>
    </row>
    <row r="4" spans="1:10" x14ac:dyDescent="0.25">
      <c r="A4" s="57" t="s">
        <v>92</v>
      </c>
      <c r="B4" s="58"/>
      <c r="C4" s="58"/>
      <c r="E4" s="63"/>
      <c r="F4" s="63"/>
      <c r="G4" s="63"/>
      <c r="H4" s="63"/>
      <c r="I4" s="63"/>
      <c r="J4" s="63"/>
    </row>
    <row r="5" spans="1:10" x14ac:dyDescent="0.25">
      <c r="A5" s="58"/>
      <c r="B5" s="58"/>
      <c r="C5" s="58"/>
      <c r="E5" s="68"/>
      <c r="F5" s="68"/>
      <c r="G5" s="63"/>
      <c r="H5" s="63"/>
      <c r="I5" s="63"/>
      <c r="J5" s="63"/>
    </row>
    <row r="6" spans="1:10" x14ac:dyDescent="0.25">
      <c r="A6" s="59" t="s">
        <v>103</v>
      </c>
      <c r="B6" s="59"/>
      <c r="C6" s="58"/>
      <c r="E6" s="59" t="s">
        <v>107</v>
      </c>
      <c r="F6" s="59"/>
      <c r="G6" s="59"/>
      <c r="H6" s="63"/>
      <c r="I6" s="63"/>
      <c r="J6" s="63"/>
    </row>
    <row r="7" spans="1:10" x14ac:dyDescent="0.25">
      <c r="A7" s="57"/>
      <c r="B7" s="58"/>
      <c r="C7" s="58"/>
      <c r="E7" s="63"/>
      <c r="F7" s="63"/>
      <c r="G7" s="63"/>
      <c r="H7" s="63"/>
      <c r="I7" s="63"/>
      <c r="J7" s="63"/>
    </row>
    <row r="8" spans="1:10" x14ac:dyDescent="0.25">
      <c r="A8" s="59" t="s">
        <v>104</v>
      </c>
      <c r="B8" s="59"/>
      <c r="C8" s="60"/>
      <c r="E8" s="72" t="s">
        <v>116</v>
      </c>
      <c r="F8" s="63" t="s">
        <v>114</v>
      </c>
      <c r="G8" s="63"/>
      <c r="H8" s="63"/>
      <c r="I8" s="63"/>
      <c r="J8" s="63"/>
    </row>
    <row r="9" spans="1:10" x14ac:dyDescent="0.25">
      <c r="A9" s="58"/>
      <c r="B9" s="58"/>
      <c r="C9" s="58"/>
      <c r="E9" s="63"/>
      <c r="F9" s="63"/>
      <c r="G9" s="63"/>
      <c r="H9" s="63"/>
      <c r="I9" s="63"/>
      <c r="J9" s="63"/>
    </row>
    <row r="10" spans="1:10" x14ac:dyDescent="0.25">
      <c r="A10" s="61" t="s">
        <v>93</v>
      </c>
      <c r="B10" s="61">
        <v>60000</v>
      </c>
      <c r="C10" s="61" t="s">
        <v>98</v>
      </c>
      <c r="E10" s="61" t="s">
        <v>105</v>
      </c>
      <c r="F10" s="61" t="s">
        <v>93</v>
      </c>
      <c r="G10" s="61" t="s">
        <v>94</v>
      </c>
      <c r="H10" s="61" t="s">
        <v>95</v>
      </c>
      <c r="I10" s="61" t="s">
        <v>106</v>
      </c>
      <c r="J10" s="61" t="s">
        <v>17</v>
      </c>
    </row>
    <row r="11" spans="1:10" x14ac:dyDescent="0.25">
      <c r="A11" s="61" t="s">
        <v>94</v>
      </c>
      <c r="B11" s="61">
        <v>75000</v>
      </c>
      <c r="C11" s="61" t="s">
        <v>98</v>
      </c>
      <c r="E11" s="69" t="s">
        <v>108</v>
      </c>
      <c r="F11" s="70"/>
      <c r="G11" s="70"/>
      <c r="H11" s="70"/>
      <c r="I11" s="70"/>
      <c r="J11" s="71"/>
    </row>
    <row r="12" spans="1:10" x14ac:dyDescent="0.25">
      <c r="A12" s="61" t="s">
        <v>95</v>
      </c>
      <c r="B12" s="61">
        <v>80000</v>
      </c>
      <c r="C12" s="61" t="s">
        <v>98</v>
      </c>
      <c r="E12" s="61" t="s">
        <v>109</v>
      </c>
      <c r="F12" s="61">
        <f>+F13*10%</f>
        <v>6000</v>
      </c>
      <c r="G12" s="61">
        <f t="shared" ref="G12:I12" si="0">+G13*10%</f>
        <v>7500</v>
      </c>
      <c r="H12" s="61">
        <f t="shared" si="0"/>
        <v>8000</v>
      </c>
      <c r="I12" s="61">
        <f t="shared" si="0"/>
        <v>10000</v>
      </c>
      <c r="J12" s="61">
        <f>SUM(F12:I12)</f>
        <v>31500</v>
      </c>
    </row>
    <row r="13" spans="1:10" x14ac:dyDescent="0.25">
      <c r="A13" s="61" t="s">
        <v>96</v>
      </c>
      <c r="B13" s="61">
        <v>100000</v>
      </c>
      <c r="C13" s="61" t="s">
        <v>98</v>
      </c>
      <c r="E13" s="61" t="s">
        <v>111</v>
      </c>
      <c r="F13" s="61">
        <f>+B10</f>
        <v>60000</v>
      </c>
      <c r="G13" s="61">
        <f>+B11</f>
        <v>75000</v>
      </c>
      <c r="H13" s="61">
        <f>+B12</f>
        <v>80000</v>
      </c>
      <c r="I13" s="61">
        <f>+B13</f>
        <v>100000</v>
      </c>
      <c r="J13" s="61">
        <f>SUM(F13:I13)</f>
        <v>315000</v>
      </c>
    </row>
    <row r="14" spans="1:10" x14ac:dyDescent="0.25">
      <c r="A14" s="62" t="s">
        <v>97</v>
      </c>
      <c r="B14" s="66">
        <f>SUM(B10:B13)</f>
        <v>315000</v>
      </c>
      <c r="C14" s="61" t="s">
        <v>98</v>
      </c>
      <c r="E14" s="61" t="s">
        <v>110</v>
      </c>
      <c r="F14" s="61">
        <f>SUM(F12:F13)</f>
        <v>66000</v>
      </c>
      <c r="G14" s="61">
        <f>SUM(G12:G13)</f>
        <v>82500</v>
      </c>
      <c r="H14" s="61">
        <f>SUM(H12:H13)</f>
        <v>88000</v>
      </c>
      <c r="I14" s="61">
        <f>SUM(I12:I13)</f>
        <v>110000</v>
      </c>
      <c r="J14" s="61">
        <f>+F14+G14+H14+I14</f>
        <v>346500</v>
      </c>
    </row>
    <row r="15" spans="1:10" x14ac:dyDescent="0.25">
      <c r="A15" s="63"/>
      <c r="B15" s="63"/>
      <c r="C15" s="63"/>
      <c r="E15" s="61" t="s">
        <v>112</v>
      </c>
      <c r="F15" s="61">
        <f>-F21</f>
        <v>-6524.44</v>
      </c>
      <c r="G15" s="61">
        <f>-F22</f>
        <v>-8030.55</v>
      </c>
      <c r="H15" s="61">
        <f>-F23</f>
        <v>-8532.58</v>
      </c>
      <c r="I15" s="61">
        <f>-F24</f>
        <v>-10540.74</v>
      </c>
      <c r="J15" s="61">
        <f>+F21+F22+F23+F24</f>
        <v>33628.31</v>
      </c>
    </row>
    <row r="16" spans="1:10" x14ac:dyDescent="0.25">
      <c r="A16" s="64"/>
      <c r="B16" s="64"/>
      <c r="C16" s="64"/>
      <c r="E16" s="61" t="s">
        <v>113</v>
      </c>
      <c r="F16" s="61">
        <f>SUM(F14:F15)</f>
        <v>59475.56</v>
      </c>
      <c r="G16" s="61">
        <f>SUM(G14:G15)</f>
        <v>74469.45</v>
      </c>
      <c r="H16" s="61">
        <f>SUM(H14:H15)</f>
        <v>79467.42</v>
      </c>
      <c r="I16" s="61">
        <f>SUM(I14:I15)</f>
        <v>99459.26</v>
      </c>
      <c r="J16" s="61">
        <f>+F16+G16+H16+I16</f>
        <v>312871.69</v>
      </c>
    </row>
    <row r="17" spans="1:10" x14ac:dyDescent="0.25">
      <c r="A17" s="61" t="s">
        <v>93</v>
      </c>
      <c r="B17" s="61">
        <f>B10*2</f>
        <v>120000</v>
      </c>
      <c r="C17" s="61" t="s">
        <v>100</v>
      </c>
      <c r="E17" s="63"/>
      <c r="F17" s="63"/>
      <c r="G17" s="63"/>
      <c r="H17" s="63"/>
      <c r="I17" s="63"/>
      <c r="J17" s="63"/>
    </row>
    <row r="18" spans="1:10" x14ac:dyDescent="0.25">
      <c r="A18" s="61" t="s">
        <v>94</v>
      </c>
      <c r="B18" s="61">
        <f>B11*2</f>
        <v>150000</v>
      </c>
      <c r="C18" s="61" t="s">
        <v>100</v>
      </c>
      <c r="E18" s="63" t="s">
        <v>115</v>
      </c>
      <c r="F18" s="63"/>
      <c r="G18" s="63"/>
      <c r="H18" s="63"/>
      <c r="I18" s="63"/>
      <c r="J18" s="63"/>
    </row>
    <row r="19" spans="1:10" x14ac:dyDescent="0.25">
      <c r="A19" s="61" t="s">
        <v>95</v>
      </c>
      <c r="B19" s="61">
        <f>B12*2</f>
        <v>160000</v>
      </c>
      <c r="C19" s="61" t="s">
        <v>100</v>
      </c>
      <c r="E19" s="63" t="s">
        <v>117</v>
      </c>
      <c r="F19" s="63"/>
      <c r="G19" s="63"/>
      <c r="H19" s="63"/>
      <c r="I19" s="63"/>
      <c r="J19" s="63"/>
    </row>
    <row r="20" spans="1:10" x14ac:dyDescent="0.25">
      <c r="A20" s="61" t="s">
        <v>96</v>
      </c>
      <c r="B20" s="61">
        <f>B13*2</f>
        <v>200000</v>
      </c>
      <c r="C20" s="61" t="s">
        <v>100</v>
      </c>
      <c r="E20" s="63" t="s">
        <v>135</v>
      </c>
      <c r="F20" s="63"/>
      <c r="G20" s="63"/>
      <c r="H20" s="63"/>
      <c r="I20" s="63"/>
      <c r="J20" s="63"/>
    </row>
    <row r="21" spans="1:10" x14ac:dyDescent="0.25">
      <c r="A21" s="61" t="s">
        <v>99</v>
      </c>
      <c r="B21" s="65">
        <f>SUM(B17:B20)</f>
        <v>630000</v>
      </c>
      <c r="C21" s="61" t="s">
        <v>100</v>
      </c>
      <c r="E21" s="63" t="s">
        <v>93</v>
      </c>
      <c r="F21" s="60">
        <v>6524.44</v>
      </c>
      <c r="G21" s="63"/>
      <c r="H21" s="63"/>
      <c r="I21" s="63"/>
      <c r="J21" s="63"/>
    </row>
    <row r="22" spans="1:10" x14ac:dyDescent="0.25">
      <c r="E22" s="63" t="s">
        <v>94</v>
      </c>
      <c r="F22" s="60">
        <v>8030.55</v>
      </c>
      <c r="G22" s="63"/>
      <c r="H22" s="63"/>
      <c r="I22" s="63"/>
      <c r="J22" s="63"/>
    </row>
    <row r="23" spans="1:10" x14ac:dyDescent="0.25">
      <c r="A23" s="41"/>
      <c r="E23" s="63" t="s">
        <v>95</v>
      </c>
      <c r="F23" s="60">
        <v>8532.58</v>
      </c>
      <c r="G23" s="63"/>
      <c r="H23" s="63"/>
      <c r="I23" s="63"/>
      <c r="J23" s="63"/>
    </row>
    <row r="24" spans="1:10" x14ac:dyDescent="0.25">
      <c r="E24" s="63" t="s">
        <v>96</v>
      </c>
      <c r="F24" s="60">
        <v>10540.74</v>
      </c>
      <c r="G24" s="63"/>
      <c r="H24" s="63"/>
      <c r="I24" s="63"/>
      <c r="J24" s="63"/>
    </row>
    <row r="25" spans="1:10" x14ac:dyDescent="0.25">
      <c r="E25" s="63"/>
    </row>
    <row r="26" spans="1:10" x14ac:dyDescent="0.25">
      <c r="E26" s="63"/>
    </row>
    <row r="27" spans="1:10" x14ac:dyDescent="0.25">
      <c r="A27" s="59" t="s">
        <v>134</v>
      </c>
      <c r="B27" s="59"/>
      <c r="C27" s="59"/>
      <c r="D27" s="59"/>
      <c r="E27" s="59"/>
      <c r="F27" s="59"/>
    </row>
    <row r="28" spans="1:10" x14ac:dyDescent="0.25">
      <c r="A28" s="60"/>
      <c r="B28" s="60"/>
      <c r="C28" s="60"/>
      <c r="D28" s="60"/>
      <c r="E28" s="60"/>
      <c r="F28" s="60"/>
      <c r="G28" s="60"/>
      <c r="H28" s="60"/>
      <c r="I28" s="60"/>
      <c r="J28" s="60"/>
    </row>
    <row r="29" spans="1:10" x14ac:dyDescent="0.25">
      <c r="A29" s="60"/>
      <c r="B29" s="60"/>
      <c r="C29" s="60"/>
      <c r="D29" s="60"/>
      <c r="E29" s="61" t="s">
        <v>105</v>
      </c>
      <c r="F29" s="61" t="s">
        <v>93</v>
      </c>
      <c r="G29" s="61" t="s">
        <v>94</v>
      </c>
      <c r="H29" s="61" t="s">
        <v>118</v>
      </c>
      <c r="I29" s="61" t="s">
        <v>106</v>
      </c>
      <c r="J29" s="61" t="s">
        <v>17</v>
      </c>
    </row>
    <row r="30" spans="1:10" x14ac:dyDescent="0.25">
      <c r="A30" s="60"/>
      <c r="B30" s="60"/>
      <c r="C30" s="60"/>
      <c r="D30" s="60"/>
      <c r="E30" s="61"/>
      <c r="F30" s="61"/>
      <c r="G30" s="61"/>
      <c r="H30" s="61"/>
      <c r="I30" s="61"/>
      <c r="J30" s="61"/>
    </row>
    <row r="31" spans="1:10" x14ac:dyDescent="0.25">
      <c r="A31" s="60"/>
      <c r="B31" s="60"/>
      <c r="C31" s="60"/>
      <c r="D31" s="60"/>
      <c r="E31" s="61" t="s">
        <v>109</v>
      </c>
      <c r="F31" s="61">
        <f>+F12</f>
        <v>6000</v>
      </c>
      <c r="G31" s="61">
        <f t="shared" ref="G31:I31" si="1">+G12</f>
        <v>7500</v>
      </c>
      <c r="H31" s="61">
        <f t="shared" si="1"/>
        <v>8000</v>
      </c>
      <c r="I31" s="61">
        <f t="shared" si="1"/>
        <v>10000</v>
      </c>
      <c r="J31" s="61">
        <f>SUM(F31:I31)</f>
        <v>31500</v>
      </c>
    </row>
    <row r="32" spans="1:10" x14ac:dyDescent="0.25">
      <c r="A32" s="60"/>
      <c r="B32" s="60"/>
      <c r="C32" s="60"/>
      <c r="D32" s="60"/>
      <c r="E32" s="61" t="s">
        <v>119</v>
      </c>
      <c r="F32" s="61">
        <f>+F16</f>
        <v>59475.56</v>
      </c>
      <c r="G32" s="61">
        <f>+G16</f>
        <v>74469.45</v>
      </c>
      <c r="H32" s="61">
        <f>+H16</f>
        <v>79467.42</v>
      </c>
      <c r="I32" s="61">
        <f>+I16</f>
        <v>99459.26</v>
      </c>
      <c r="J32" s="61">
        <f>SUM(F32:I32)</f>
        <v>312871.69</v>
      </c>
    </row>
    <row r="33" spans="1:11" x14ac:dyDescent="0.25">
      <c r="A33" s="60"/>
      <c r="B33" s="60"/>
      <c r="C33" s="60"/>
      <c r="D33" s="60"/>
      <c r="E33" s="61" t="s">
        <v>110</v>
      </c>
      <c r="F33" s="61">
        <f>+F31+F32</f>
        <v>65475.56</v>
      </c>
      <c r="G33" s="61">
        <f>+G31+G32</f>
        <v>81969.45</v>
      </c>
      <c r="H33" s="61">
        <f>+H31+H32</f>
        <v>87467.42</v>
      </c>
      <c r="I33" s="61">
        <f>+I31+I32</f>
        <v>109459.26</v>
      </c>
      <c r="J33" s="61">
        <f>SUM(F33:I33)</f>
        <v>344371.69</v>
      </c>
    </row>
    <row r="34" spans="1:11" x14ac:dyDescent="0.25">
      <c r="A34" s="60"/>
      <c r="B34" s="60"/>
      <c r="C34" s="60"/>
      <c r="D34" s="60"/>
      <c r="E34" s="61" t="s">
        <v>120</v>
      </c>
      <c r="F34" s="61">
        <f>+F21</f>
        <v>6524.44</v>
      </c>
      <c r="G34" s="61">
        <f>+F22</f>
        <v>8030.55</v>
      </c>
      <c r="H34" s="61">
        <f>+F23</f>
        <v>8532.58</v>
      </c>
      <c r="I34" s="61">
        <f>+F24</f>
        <v>10540.74</v>
      </c>
      <c r="J34" s="61">
        <f>SUM(F34:I34)</f>
        <v>33628.31</v>
      </c>
    </row>
    <row r="35" spans="1:11" x14ac:dyDescent="0.25">
      <c r="A35" s="60"/>
      <c r="B35" s="60"/>
      <c r="C35" s="60"/>
      <c r="D35" s="60"/>
      <c r="E35" s="61" t="s">
        <v>121</v>
      </c>
      <c r="F35" s="61">
        <f>+F44</f>
        <v>20160</v>
      </c>
      <c r="G35" s="61">
        <f>+G44</f>
        <v>25200</v>
      </c>
      <c r="H35" s="61">
        <f>+H44</f>
        <v>26880</v>
      </c>
      <c r="I35" s="61">
        <f>+I44</f>
        <v>33600</v>
      </c>
      <c r="J35" s="61">
        <f>SUM(F35:I35)</f>
        <v>105840</v>
      </c>
    </row>
    <row r="36" spans="1:11" x14ac:dyDescent="0.25">
      <c r="A36" s="60"/>
      <c r="B36" s="60"/>
      <c r="C36" s="60"/>
      <c r="D36" s="60"/>
      <c r="E36" s="61" t="s">
        <v>122</v>
      </c>
      <c r="F36" s="61">
        <v>2</v>
      </c>
      <c r="G36" s="61">
        <v>2</v>
      </c>
      <c r="H36" s="61">
        <v>2</v>
      </c>
      <c r="I36" s="61">
        <v>2</v>
      </c>
      <c r="J36" s="61">
        <v>2</v>
      </c>
    </row>
    <row r="37" spans="1:11" x14ac:dyDescent="0.25">
      <c r="A37" s="60"/>
      <c r="B37" s="60"/>
      <c r="C37" s="60"/>
      <c r="D37" s="60"/>
      <c r="E37" s="61" t="s">
        <v>123</v>
      </c>
      <c r="F37" s="61">
        <f>+F35*F36</f>
        <v>40320</v>
      </c>
      <c r="G37" s="61">
        <f>+G35*G36</f>
        <v>50400</v>
      </c>
      <c r="H37" s="61">
        <f>+H35*H36</f>
        <v>53760</v>
      </c>
      <c r="I37" s="61">
        <f>+I35*I36</f>
        <v>67200</v>
      </c>
      <c r="J37" s="61">
        <f>SUM(F37:I37)</f>
        <v>211680</v>
      </c>
    </row>
    <row r="38" spans="1:11" x14ac:dyDescent="0.25">
      <c r="A38" s="60"/>
      <c r="B38" s="60"/>
      <c r="C38" s="60"/>
      <c r="D38" s="60"/>
      <c r="E38" s="60"/>
      <c r="F38" s="60"/>
      <c r="G38" s="60"/>
      <c r="H38" s="60"/>
      <c r="I38" s="60"/>
      <c r="J38" s="60"/>
    </row>
    <row r="39" spans="1:11" x14ac:dyDescent="0.25">
      <c r="A39" s="68"/>
      <c r="B39" s="68"/>
      <c r="C39" s="73"/>
      <c r="D39" s="68"/>
      <c r="E39" s="60" t="s">
        <v>124</v>
      </c>
      <c r="F39" s="60"/>
      <c r="G39" s="60"/>
      <c r="H39" s="60"/>
      <c r="I39" s="60"/>
      <c r="J39" s="60"/>
    </row>
    <row r="40" spans="1:11" x14ac:dyDescent="0.25">
      <c r="A40" s="68"/>
      <c r="B40" s="68"/>
      <c r="C40" s="60"/>
      <c r="D40" s="60"/>
      <c r="E40" s="60" t="s">
        <v>132</v>
      </c>
      <c r="F40" s="60" t="s">
        <v>93</v>
      </c>
      <c r="G40" s="60" t="s">
        <v>94</v>
      </c>
      <c r="H40" s="60" t="s">
        <v>133</v>
      </c>
      <c r="I40" s="60" t="s">
        <v>106</v>
      </c>
      <c r="J40" s="60"/>
    </row>
    <row r="41" spans="1:11" x14ac:dyDescent="0.25">
      <c r="A41" s="60"/>
      <c r="B41" s="60"/>
      <c r="C41" s="67" t="s">
        <v>127</v>
      </c>
      <c r="D41" s="67"/>
      <c r="E41" s="60" t="s">
        <v>128</v>
      </c>
      <c r="F41" s="60">
        <f>60000/50*6.3</f>
        <v>7560</v>
      </c>
      <c r="G41" s="60">
        <f>75000/50*6.3</f>
        <v>9450</v>
      </c>
      <c r="H41" s="60">
        <f>80000/50*6.3</f>
        <v>10080</v>
      </c>
      <c r="I41" s="60">
        <f>100000/50*6.3</f>
        <v>12600</v>
      </c>
      <c r="J41" s="60"/>
    </row>
    <row r="42" spans="1:11" x14ac:dyDescent="0.25">
      <c r="A42" s="60"/>
      <c r="B42" s="60"/>
      <c r="C42" s="67" t="s">
        <v>125</v>
      </c>
      <c r="D42" s="67"/>
      <c r="E42" s="60" t="s">
        <v>129</v>
      </c>
      <c r="F42" s="60">
        <f>60000/450*54</f>
        <v>7200.0000000000009</v>
      </c>
      <c r="G42" s="60">
        <f>75000/450*54</f>
        <v>9000</v>
      </c>
      <c r="H42" s="60">
        <f>80000/450*54</f>
        <v>9600</v>
      </c>
      <c r="I42" s="60">
        <f>100000/450*54</f>
        <v>12000</v>
      </c>
      <c r="J42" s="60"/>
    </row>
    <row r="43" spans="1:11" x14ac:dyDescent="0.25">
      <c r="C43" s="67" t="s">
        <v>126</v>
      </c>
      <c r="D43" s="67"/>
      <c r="E43" s="74" t="s">
        <v>130</v>
      </c>
      <c r="F43" s="60">
        <f>60000*0.09</f>
        <v>5400</v>
      </c>
      <c r="G43" s="60">
        <f>75000*0.09</f>
        <v>6750</v>
      </c>
      <c r="H43" s="60">
        <f>80000*0.09</f>
        <v>7200</v>
      </c>
      <c r="I43" s="75">
        <f>100000*0.09</f>
        <v>9000</v>
      </c>
    </row>
    <row r="44" spans="1:11" x14ac:dyDescent="0.25">
      <c r="A44" s="60"/>
      <c r="B44" s="60"/>
      <c r="C44" s="60"/>
      <c r="D44" s="60"/>
      <c r="E44" s="60"/>
      <c r="F44" s="76">
        <f>SUM(F41:F43)</f>
        <v>20160</v>
      </c>
      <c r="G44" s="76">
        <f>SUM(G41:G43)</f>
        <v>25200</v>
      </c>
      <c r="H44" s="76">
        <f>SUM(H41:H43)</f>
        <v>26880</v>
      </c>
      <c r="I44" s="76">
        <f>SUM(I41:I43)</f>
        <v>33600</v>
      </c>
      <c r="J44" s="60"/>
      <c r="K44" s="60"/>
    </row>
    <row r="45" spans="1:11" x14ac:dyDescent="0.25">
      <c r="A45" s="60"/>
      <c r="B45" s="60"/>
      <c r="C45" s="60"/>
      <c r="D45" s="60"/>
      <c r="E45" s="60"/>
      <c r="F45" s="60"/>
      <c r="G45" s="60"/>
      <c r="H45" s="60"/>
      <c r="I45" s="60"/>
      <c r="J45" s="60"/>
      <c r="K45" s="60"/>
    </row>
    <row r="46" spans="1:11" x14ac:dyDescent="0.25">
      <c r="A46" s="60"/>
      <c r="B46" s="60"/>
      <c r="C46" s="60"/>
      <c r="D46" s="60"/>
      <c r="E46" s="60"/>
      <c r="F46" s="60"/>
      <c r="G46" s="60"/>
      <c r="H46" s="60"/>
      <c r="I46" s="60"/>
      <c r="J46" s="60"/>
      <c r="K46" s="60"/>
    </row>
    <row r="47" spans="1:11" x14ac:dyDescent="0.25">
      <c r="A47" s="59" t="s">
        <v>131</v>
      </c>
      <c r="B47" s="59"/>
      <c r="C47" s="59"/>
      <c r="D47" s="59"/>
      <c r="E47" s="59"/>
      <c r="F47" s="60"/>
      <c r="G47" s="60"/>
      <c r="H47" s="60"/>
      <c r="I47" s="60"/>
      <c r="J47" s="60"/>
      <c r="K47" s="60"/>
    </row>
    <row r="48" spans="1:11" x14ac:dyDescent="0.25">
      <c r="A48" s="60"/>
      <c r="B48" s="60"/>
      <c r="C48" s="60"/>
      <c r="D48" s="60"/>
      <c r="E48" s="60"/>
      <c r="F48" s="60"/>
      <c r="G48" s="60"/>
      <c r="H48" s="60"/>
      <c r="I48" s="60"/>
      <c r="J48" s="60"/>
      <c r="K48" s="60"/>
    </row>
  </sheetData>
  <mergeCells count="9">
    <mergeCell ref="A27:F27"/>
    <mergeCell ref="C41:D41"/>
    <mergeCell ref="C42:D42"/>
    <mergeCell ref="C43:D43"/>
    <mergeCell ref="A47:E47"/>
    <mergeCell ref="A8:B8"/>
    <mergeCell ref="A6:B6"/>
    <mergeCell ref="E6:G6"/>
    <mergeCell ref="E11:J11"/>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CUEROS FINOS</vt:lpstr>
      <vt:lpstr>CHOCOTEJAS GALIA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dc:creator>
  <cp:lastModifiedBy>Javier</cp:lastModifiedBy>
  <dcterms:created xsi:type="dcterms:W3CDTF">2014-03-23T19:12:09Z</dcterms:created>
  <dcterms:modified xsi:type="dcterms:W3CDTF">2014-03-26T05:09:40Z</dcterms:modified>
</cp:coreProperties>
</file>